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20580" windowHeight="7740" activeTab="1"/>
  </bookViews>
  <sheets>
    <sheet name="Assumptions" sheetId="1" r:id="rId1"/>
    <sheet name="2014IncomeStatement" sheetId="2" r:id="rId2"/>
    <sheet name="MasterBudget" sheetId="3" r:id="rId3"/>
    <sheet name="FlexibleBudget" sheetId="4" r:id="rId4"/>
    <sheet name="Comparison" sheetId="5" r:id="rId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28" i="1"/>
  <c r="F24" i="1"/>
  <c r="F25" i="1"/>
  <c r="F27" i="1"/>
  <c r="L9" i="2"/>
  <c r="L7" i="2"/>
  <c r="H17" i="1"/>
  <c r="I25" i="1"/>
  <c r="B23" i="4" l="1"/>
  <c r="H4" i="4" s="1"/>
  <c r="C21" i="5"/>
  <c r="H21" i="4"/>
  <c r="E5" i="5" s="1"/>
  <c r="G6" i="1"/>
  <c r="C4" i="4"/>
  <c r="G7" i="1"/>
  <c r="H4" i="3" s="1"/>
  <c r="H19" i="3"/>
  <c r="C23" i="3"/>
  <c r="I17" i="1"/>
  <c r="H7" i="3" s="1"/>
  <c r="C4" i="3"/>
  <c r="B4" i="3"/>
  <c r="H3" i="3" s="1"/>
  <c r="F16" i="1"/>
  <c r="B4" i="4" l="1"/>
  <c r="D4" i="4" s="1"/>
  <c r="H19" i="4" s="1"/>
  <c r="H5" i="3"/>
  <c r="H6" i="3" s="1"/>
  <c r="C22" i="3" s="1"/>
  <c r="E3" i="5"/>
  <c r="L12" i="4"/>
  <c r="B12" i="3"/>
  <c r="H3" i="4"/>
  <c r="H5" i="4" s="1"/>
  <c r="C22" i="5"/>
  <c r="H7" i="4"/>
  <c r="L5" i="2"/>
  <c r="C12" i="2"/>
  <c r="C11" i="2"/>
  <c r="L12" i="2" s="1"/>
  <c r="C10" i="2"/>
  <c r="L11" i="2" s="1"/>
  <c r="B7" i="2"/>
  <c r="B6" i="2"/>
  <c r="C4" i="2"/>
  <c r="L4" i="2"/>
  <c r="D4" i="3"/>
  <c r="L13" i="2"/>
  <c r="H6" i="4" l="1"/>
  <c r="B22" i="4" s="1"/>
  <c r="B3" i="5"/>
  <c r="B17" i="5"/>
  <c r="F17" i="1"/>
  <c r="F18" i="1"/>
  <c r="F15" i="1"/>
  <c r="H13" i="3" s="1"/>
  <c r="F14" i="1"/>
  <c r="F13" i="1"/>
  <c r="F12" i="1"/>
  <c r="I3" i="5"/>
  <c r="C8" i="2"/>
  <c r="C9" i="2" s="1"/>
  <c r="C13" i="2" s="1"/>
  <c r="L6" i="2"/>
  <c r="L8" i="2" s="1"/>
  <c r="L10" i="2" s="1"/>
  <c r="L14" i="2" s="1"/>
  <c r="H25" i="3" l="1"/>
  <c r="B9" i="5" s="1"/>
  <c r="K13" i="3"/>
  <c r="D17" i="5"/>
  <c r="H12" i="3"/>
  <c r="B20" i="4"/>
  <c r="C20" i="3"/>
  <c r="H21" i="3"/>
  <c r="B5" i="5" s="1"/>
  <c r="I5" i="5" s="1"/>
  <c r="K12" i="3"/>
  <c r="H24" i="3"/>
  <c r="H13" i="4"/>
  <c r="B18" i="4"/>
  <c r="C18" i="3"/>
  <c r="L3" i="3"/>
  <c r="B19" i="4"/>
  <c r="B12" i="4" s="1"/>
  <c r="C19" i="3"/>
  <c r="G13" i="1"/>
  <c r="C12" i="3" s="1"/>
  <c r="N3" i="4" l="1"/>
  <c r="B21" i="4"/>
  <c r="B8" i="5"/>
  <c r="I26" i="3"/>
  <c r="H25" i="4"/>
  <c r="E9" i="5" s="1"/>
  <c r="H24" i="4"/>
  <c r="B4" i="5"/>
  <c r="C21" i="3"/>
  <c r="C24" i="3" s="1"/>
  <c r="K14" i="3"/>
  <c r="B20" i="5" s="1"/>
  <c r="D20" i="5" s="1"/>
  <c r="H12" i="4"/>
  <c r="H14" i="4" s="1"/>
  <c r="H14" i="3"/>
  <c r="I9" i="5"/>
  <c r="H20" i="4" l="1"/>
  <c r="B24" i="4"/>
  <c r="H20" i="3"/>
  <c r="I22" i="3" s="1"/>
  <c r="H23" i="3" s="1"/>
  <c r="I27" i="3" s="1"/>
  <c r="B19" i="5"/>
  <c r="E8" i="5"/>
  <c r="F10" i="5" s="1"/>
  <c r="H26" i="4"/>
  <c r="L13" i="4" s="1"/>
  <c r="L14" i="4" s="1"/>
  <c r="H22" i="4"/>
  <c r="H23" i="4" s="1"/>
  <c r="E4" i="5"/>
  <c r="F6" i="5" s="1"/>
  <c r="F7" i="5" s="1"/>
  <c r="C6" i="5"/>
  <c r="C10" i="5"/>
  <c r="I4" i="5" l="1"/>
  <c r="C7" i="5"/>
  <c r="C11" i="5" s="1"/>
  <c r="I6" i="5"/>
  <c r="I10" i="5"/>
  <c r="F11" i="5"/>
  <c r="D19" i="5"/>
  <c r="B21" i="5"/>
  <c r="I8" i="5"/>
  <c r="H27" i="4"/>
  <c r="I7" i="5" l="1"/>
  <c r="I11" i="5"/>
  <c r="D21" i="5"/>
  <c r="B22" i="5"/>
  <c r="D22" i="5" s="1"/>
</calcChain>
</file>

<file path=xl/sharedStrings.xml><?xml version="1.0" encoding="utf-8"?>
<sst xmlns="http://schemas.openxmlformats.org/spreadsheetml/2006/main" count="164" uniqueCount="105">
  <si>
    <t>Revenues</t>
  </si>
  <si>
    <t>Costs and expenses</t>
  </si>
  <si>
    <t>Cost of sales</t>
  </si>
  <si>
    <t>Selling, administrative, and other expenses</t>
  </si>
  <si>
    <t>Total costs and expenses</t>
  </si>
  <si>
    <t>Total</t>
  </si>
  <si>
    <t>Add target ending finished goods inventory</t>
  </si>
  <si>
    <t>Units</t>
  </si>
  <si>
    <t>Selling Price</t>
  </si>
  <si>
    <t>Total Revenues</t>
  </si>
  <si>
    <t>Automotive</t>
  </si>
  <si>
    <t>Total required units</t>
  </si>
  <si>
    <t>Deduct beginning finished goods inventory</t>
  </si>
  <si>
    <t>Units of finished goods to be produced</t>
  </si>
  <si>
    <t>Variable manufacturing overhead</t>
  </si>
  <si>
    <t>Fixed manufacturing costs</t>
  </si>
  <si>
    <t>Total manufacturing operations overhead costs</t>
  </si>
  <si>
    <t>Sales prices increase:</t>
  </si>
  <si>
    <t>Selling and administrative variable costs increase:</t>
  </si>
  <si>
    <t>Selling and administrative fixed costs decrease:</t>
  </si>
  <si>
    <t>Wholesale prices of cars increase:</t>
  </si>
  <si>
    <t>Production costs in all categories increase:</t>
  </si>
  <si>
    <t>Direct materials</t>
  </si>
  <si>
    <t>Direct labor</t>
  </si>
  <si>
    <t>Average selling price per vehicle</t>
  </si>
  <si>
    <t>Less variable selling and administrative costs</t>
  </si>
  <si>
    <t>Total variable costs</t>
  </si>
  <si>
    <t>Contribution Margin</t>
  </si>
  <si>
    <t>Less fixed manufacturing costs</t>
  </si>
  <si>
    <t>Less fixed selling and administrative costs</t>
  </si>
  <si>
    <t>Total fixed costs</t>
  </si>
  <si>
    <t>Operating Income</t>
  </si>
  <si>
    <t>Sales volume increase  (in millions):</t>
  </si>
  <si>
    <t>Average unit cost of an automobile decrease</t>
  </si>
  <si>
    <t>Variable manufacturing overhead costs</t>
  </si>
  <si>
    <t>Automotive interest expense</t>
  </si>
  <si>
    <t>Automotive interest income and other income</t>
  </si>
  <si>
    <t>Ending inventory Decrease:</t>
  </si>
  <si>
    <t>Related Data</t>
  </si>
  <si>
    <t>Cost of sales comprised of:</t>
  </si>
  <si>
    <t>Sales volume increase:</t>
  </si>
  <si>
    <t>Revenue:</t>
  </si>
  <si>
    <t>Global sales volume:</t>
  </si>
  <si>
    <t>Production volume units (in millions):</t>
  </si>
  <si>
    <t>Cost of sales (in millions):</t>
  </si>
  <si>
    <t>Average production costs of automobile</t>
  </si>
  <si>
    <t>Selling, general, and administrative expenses:</t>
  </si>
  <si>
    <t xml:space="preserve">Production increase (in millions): </t>
  </si>
  <si>
    <t>S, A, and O expenses increase</t>
  </si>
  <si>
    <t xml:space="preserve">S, A, and O fixed costs </t>
  </si>
  <si>
    <t xml:space="preserve">Variable S, G and O costs </t>
  </si>
  <si>
    <t>Equity in net income of affiliated companies</t>
  </si>
  <si>
    <t>Income(Loss) before income taxes-Automotive</t>
  </si>
  <si>
    <t>Results after Change</t>
  </si>
  <si>
    <t>Basic assumptions underlying the flexible budet</t>
  </si>
  <si>
    <t>Basic Assumptions</t>
  </si>
  <si>
    <t>2014 Traditional  Income Statement: Automotive Division (in millions)</t>
  </si>
  <si>
    <t>Revenue</t>
  </si>
  <si>
    <t>Less variable cost of goods sold</t>
  </si>
  <si>
    <t>Gross Contribution margin</t>
  </si>
  <si>
    <t>Less variable selling, administrative and other expenses</t>
  </si>
  <si>
    <t>Less fixed expenses</t>
  </si>
  <si>
    <t>Net profit</t>
  </si>
  <si>
    <t>Net Profit</t>
  </si>
  <si>
    <t>2104 Contribution Format Income Statement: Automotive Division (in millions)</t>
  </si>
  <si>
    <t>Cost of Goods Sold</t>
  </si>
  <si>
    <t>Direct Labor</t>
  </si>
  <si>
    <t>Factory Overhead</t>
  </si>
  <si>
    <t>Total Manufacturing Cost</t>
  </si>
  <si>
    <t>Add Beg Finished Inventory</t>
  </si>
  <si>
    <t>Beginning inventory units (in millions):</t>
  </si>
  <si>
    <t>Ending inventory units:</t>
  </si>
  <si>
    <t xml:space="preserve">Budgeted unit sales </t>
  </si>
  <si>
    <t>Schedule Three: Direct Materials Purchases Budget</t>
  </si>
  <si>
    <t>Budgeted cost of direct materials</t>
  </si>
  <si>
    <t>Schedule Four: Direct Manufacturing Lobor Costs Budget (in Millions)</t>
  </si>
  <si>
    <t>Budeted Cost of Direct Labor</t>
  </si>
  <si>
    <t>Schedule One Sales Budget (in millions) for Master Budget</t>
  </si>
  <si>
    <t>Schedule Two: Production Budget</t>
  </si>
  <si>
    <t>Schedule Five: Manufacturing Overhead Costs Budget</t>
  </si>
  <si>
    <t>Fixed manufacturing overhead costs</t>
  </si>
  <si>
    <t>Schedule Six: Selling, General, and Administrative Budget (in millions)</t>
  </si>
  <si>
    <t>Variable Costs</t>
  </si>
  <si>
    <t>Fixed Costs</t>
  </si>
  <si>
    <t>Direct Material</t>
  </si>
  <si>
    <t>Less End Inventory</t>
  </si>
  <si>
    <t xml:space="preserve">Sales </t>
  </si>
  <si>
    <t>Less variable manufacturing costs</t>
  </si>
  <si>
    <t>Flexible Budget</t>
  </si>
  <si>
    <t>Master Budget</t>
  </si>
  <si>
    <t>Total Variable costs</t>
  </si>
  <si>
    <t>Actual Results</t>
  </si>
  <si>
    <t>Variance</t>
  </si>
  <si>
    <t>Cost and Expenses</t>
  </si>
  <si>
    <t>Income(loss) before income taxes - Automotive</t>
  </si>
  <si>
    <t>Comparisons with Actual Results</t>
  </si>
  <si>
    <t xml:space="preserve">Variance </t>
  </si>
  <si>
    <t>Source: Ford Motor Company 2014 Annual Report</t>
  </si>
  <si>
    <t>Source: 2015 Ford SEC 10-K</t>
  </si>
  <si>
    <t>Schedule One Sales Budget (in millions) for the flexible Budget</t>
  </si>
  <si>
    <t>Schedule 7 Budgeted Cost of Goods Sold</t>
  </si>
  <si>
    <t>Schedule 8: Master/Static Budget</t>
  </si>
  <si>
    <t>Schedule 8: Flexible  Budget</t>
  </si>
  <si>
    <t>Budgeted Cost of Direct Labor</t>
  </si>
  <si>
    <t>cost per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</si>
</sst>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43" formatCode="_(* #,##0.00_);_(* \(#,##0.00\);_(* &quot;-&quot;??_);_(@_)"/>
    <numFmt numFmtId="164" formatCode="&quot;$&quot;#,##0"/>
    <numFmt numFmtId="166" formatCode="0.000"/>
    <numFmt numFmtId="167" formatCode="#,##0.000"/>
    <numFmt numFmtId="168" formatCode="_(* #,##0_);_(* \(#,##0\);_(* &quot;-&quot;??_);_(@_)"/>
    <numFmt numFmtId="169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164" fontId="2" fillId="0" borderId="0" xfId="0" applyNumberFormat="1" applyFont="1"/>
    <xf numFmtId="6" fontId="2" fillId="0" borderId="0" xfId="0" applyNumberFormat="1" applyFont="1" applyBorder="1"/>
    <xf numFmtId="166" fontId="2" fillId="0" borderId="0" xfId="0" applyNumberFormat="1" applyFont="1" applyBorder="1"/>
    <xf numFmtId="6" fontId="2" fillId="0" borderId="0" xfId="0" applyNumberFormat="1" applyFont="1"/>
    <xf numFmtId="164" fontId="2" fillId="0" borderId="0" xfId="0" applyNumberFormat="1" applyFont="1" applyBorder="1"/>
    <xf numFmtId="0" fontId="1" fillId="0" borderId="0" xfId="0" applyFont="1" applyAlignment="1">
      <alignment horizontal="left" indent="1"/>
    </xf>
    <xf numFmtId="1" fontId="2" fillId="0" borderId="1" xfId="0" applyNumberFormat="1" applyFont="1" applyBorder="1" applyAlignment="1">
      <alignment horizontal="left" indent="7"/>
    </xf>
    <xf numFmtId="166" fontId="3" fillId="0" borderId="2" xfId="0" applyNumberFormat="1" applyFont="1" applyBorder="1" applyAlignment="1"/>
    <xf numFmtId="166" fontId="3" fillId="0" borderId="0" xfId="0" applyNumberFormat="1" applyFont="1" applyBorder="1" applyAlignment="1"/>
    <xf numFmtId="0" fontId="1" fillId="0" borderId="0" xfId="0" applyFont="1" applyAlignment="1">
      <alignment horizontal="center"/>
    </xf>
    <xf numFmtId="166" fontId="2" fillId="0" borderId="0" xfId="0" applyNumberFormat="1" applyFont="1"/>
    <xf numFmtId="6" fontId="2" fillId="0" borderId="1" xfId="0" applyNumberFormat="1" applyFont="1" applyBorder="1"/>
    <xf numFmtId="0" fontId="2" fillId="0" borderId="1" xfId="0" applyFont="1" applyBorder="1"/>
    <xf numFmtId="0" fontId="2" fillId="0" borderId="0" xfId="0" applyFont="1" applyAlignment="1">
      <alignment horizontal="left" indent="1"/>
    </xf>
    <xf numFmtId="0" fontId="3" fillId="0" borderId="0" xfId="0" applyFont="1"/>
    <xf numFmtId="168" fontId="2" fillId="0" borderId="0" xfId="1" applyNumberFormat="1" applyFont="1"/>
    <xf numFmtId="43" fontId="2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9" fontId="2" fillId="0" borderId="0" xfId="0" applyNumberFormat="1" applyFont="1"/>
    <xf numFmtId="10" fontId="2" fillId="0" borderId="0" xfId="0" applyNumberFormat="1" applyFont="1"/>
    <xf numFmtId="9" fontId="2" fillId="0" borderId="0" xfId="2" applyFont="1"/>
    <xf numFmtId="0" fontId="2" fillId="0" borderId="0" xfId="0" applyFont="1" applyAlignment="1">
      <alignment horizontal="left" vertical="center" indent="5"/>
    </xf>
    <xf numFmtId="1" fontId="2" fillId="0" borderId="0" xfId="0" applyNumberFormat="1" applyFont="1"/>
    <xf numFmtId="2" fontId="2" fillId="0" borderId="0" xfId="0" applyNumberFormat="1" applyFont="1"/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/>
    </xf>
    <xf numFmtId="167" fontId="2" fillId="0" borderId="0" xfId="0" applyNumberFormat="1" applyFont="1"/>
    <xf numFmtId="0" fontId="2" fillId="0" borderId="0" xfId="0" applyFont="1"/>
    <xf numFmtId="0" fontId="1" fillId="0" borderId="0" xfId="0" applyFont="1"/>
    <xf numFmtId="1" fontId="2" fillId="0" borderId="0" xfId="0" applyNumberFormat="1" applyFont="1" applyBorder="1"/>
    <xf numFmtId="168" fontId="2" fillId="0" borderId="1" xfId="1" applyNumberFormat="1" applyFont="1" applyBorder="1"/>
    <xf numFmtId="168" fontId="2" fillId="0" borderId="2" xfId="1" applyNumberFormat="1" applyFont="1" applyBorder="1"/>
    <xf numFmtId="168" fontId="2" fillId="0" borderId="0" xfId="1" applyNumberFormat="1" applyFont="1" applyBorder="1"/>
    <xf numFmtId="169" fontId="2" fillId="0" borderId="0" xfId="0" applyNumberFormat="1" applyFont="1"/>
    <xf numFmtId="164" fontId="3" fillId="0" borderId="0" xfId="0" applyNumberFormat="1" applyFont="1" applyBorder="1"/>
    <xf numFmtId="0" fontId="3" fillId="0" borderId="0" xfId="0" applyFont="1" applyBorder="1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indent="3"/>
    </xf>
    <xf numFmtId="0" fontId="2" fillId="0" borderId="0" xfId="0" applyFont="1" applyAlignment="1">
      <alignment horizontal="left" indent="3"/>
    </xf>
    <xf numFmtId="168" fontId="2" fillId="0" borderId="0" xfId="1" applyNumberFormat="1" applyFont="1" applyAlignment="1">
      <alignment horizontal="right" wrapText="1"/>
    </xf>
    <xf numFmtId="168" fontId="2" fillId="0" borderId="1" xfId="1" applyNumberFormat="1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3" fontId="2" fillId="0" borderId="0" xfId="0" applyNumberFormat="1" applyFont="1"/>
    <xf numFmtId="168" fontId="2" fillId="0" borderId="0" xfId="0" applyNumberFormat="1" applyFont="1"/>
    <xf numFmtId="168" fontId="5" fillId="0" borderId="0" xfId="1" applyNumberFormat="1" applyFont="1"/>
    <xf numFmtId="164" fontId="2" fillId="0" borderId="0" xfId="0" applyNumberFormat="1" applyFont="1" applyAlignment="1">
      <alignment horizontal="right" wrapText="1"/>
    </xf>
    <xf numFmtId="168" fontId="2" fillId="0" borderId="1" xfId="1" applyNumberFormat="1" applyFont="1" applyBorder="1" applyAlignment="1">
      <alignment wrapText="1"/>
    </xf>
    <xf numFmtId="168" fontId="2" fillId="0" borderId="0" xfId="1" applyNumberFormat="1" applyFont="1" applyAlignment="1">
      <alignment wrapText="1"/>
    </xf>
    <xf numFmtId="168" fontId="3" fillId="0" borderId="0" xfId="1" applyNumberFormat="1" applyFont="1"/>
    <xf numFmtId="168" fontId="2" fillId="0" borderId="0" xfId="1" applyNumberFormat="1" applyFont="1" applyBorder="1" applyAlignment="1">
      <alignment horizontal="right" wrapText="1"/>
    </xf>
    <xf numFmtId="9" fontId="2" fillId="0" borderId="0" xfId="0" applyNumberFormat="1" applyFont="1" applyAlignment="1"/>
    <xf numFmtId="9" fontId="2" fillId="0" borderId="0" xfId="2" applyNumberFormat="1" applyFont="1"/>
    <xf numFmtId="168" fontId="2" fillId="0" borderId="2" xfId="1" applyNumberFormat="1" applyFont="1" applyBorder="1" applyAlignment="1">
      <alignment horizontal="right" wrapText="1"/>
    </xf>
    <xf numFmtId="166" fontId="2" fillId="0" borderId="0" xfId="0" applyNumberFormat="1" applyFont="1" applyAlignment="1">
      <alignment horizontal="right" wrapText="1"/>
    </xf>
    <xf numFmtId="168" fontId="1" fillId="0" borderId="0" xfId="1" applyNumberFormat="1" applyFont="1" applyAlignment="1">
      <alignment horizontal="right" wrapText="1"/>
    </xf>
    <xf numFmtId="0" fontId="1" fillId="0" borderId="0" xfId="0" applyFont="1" applyAlignment="1">
      <alignment horizontal="right" wrapText="1"/>
    </xf>
    <xf numFmtId="167" fontId="2" fillId="0" borderId="0" xfId="0" applyNumberFormat="1" applyFont="1" applyAlignment="1">
      <alignment horizontal="right" wrapText="1"/>
    </xf>
    <xf numFmtId="6" fontId="2" fillId="0" borderId="0" xfId="0" applyNumberFormat="1" applyFont="1" applyAlignment="1">
      <alignment horizontal="right" wrapText="1"/>
    </xf>
    <xf numFmtId="2" fontId="2" fillId="0" borderId="0" xfId="0" applyNumberFormat="1" applyFont="1" applyAlignment="1">
      <alignment horizontal="right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zoomScale="80" zoomScaleNormal="80" workbookViewId="0">
      <selection activeCell="M4" sqref="M4:M14"/>
    </sheetView>
  </sheetViews>
  <sheetFormatPr defaultColWidth="9" defaultRowHeight="15.75" x14ac:dyDescent="0.25"/>
  <cols>
    <col min="1" max="1" width="9" style="2"/>
    <col min="2" max="2" width="11.125" style="2" customWidth="1"/>
    <col min="3" max="3" width="9" style="2"/>
    <col min="4" max="4" width="22.125" style="2" customWidth="1"/>
    <col min="5" max="5" width="17.25" style="2" customWidth="1"/>
    <col min="6" max="6" width="29.625" style="2" customWidth="1"/>
    <col min="7" max="7" width="22.625" style="2" customWidth="1"/>
    <col min="8" max="8" width="10.125" style="2" bestFit="1" customWidth="1"/>
    <col min="9" max="9" width="14.5" style="2" customWidth="1"/>
    <col min="10" max="10" width="10.875" style="2" bestFit="1" customWidth="1"/>
    <col min="11" max="11" width="9" style="2"/>
    <col min="12" max="12" width="11.125" style="2" customWidth="1"/>
    <col min="13" max="13" width="18.625" style="2" customWidth="1"/>
    <col min="14" max="14" width="10.125" style="2" bestFit="1" customWidth="1"/>
    <col min="15" max="15" width="16.875" style="2" bestFit="1" customWidth="1"/>
    <col min="16" max="16384" width="9" style="2"/>
  </cols>
  <sheetData>
    <row r="1" spans="1:15" x14ac:dyDescent="0.25">
      <c r="A1" s="1" t="s">
        <v>55</v>
      </c>
      <c r="B1" s="1"/>
      <c r="C1" s="1"/>
      <c r="D1" s="1"/>
      <c r="E1" s="1"/>
      <c r="F1" s="1"/>
      <c r="G1" s="1"/>
    </row>
    <row r="2" spans="1:15" x14ac:dyDescent="0.25">
      <c r="A2" s="22"/>
      <c r="B2" s="1"/>
      <c r="C2" s="1"/>
      <c r="D2" s="1"/>
      <c r="E2" s="1"/>
      <c r="F2" s="13" t="s">
        <v>53</v>
      </c>
      <c r="G2" s="13" t="s">
        <v>104</v>
      </c>
      <c r="H2" s="44" t="s">
        <v>38</v>
      </c>
      <c r="I2" s="44"/>
      <c r="J2" s="44"/>
      <c r="K2" s="44"/>
    </row>
    <row r="4" spans="1:15" x14ac:dyDescent="0.25">
      <c r="A4" s="23" t="s">
        <v>40</v>
      </c>
      <c r="E4" s="24">
        <v>0.1</v>
      </c>
      <c r="F4" s="48">
        <v>149360200000</v>
      </c>
      <c r="G4" s="62"/>
      <c r="H4" s="2" t="s">
        <v>43</v>
      </c>
      <c r="M4" s="48">
        <v>6323000000</v>
      </c>
    </row>
    <row r="5" spans="1:15" x14ac:dyDescent="0.25">
      <c r="A5" s="23" t="s">
        <v>20</v>
      </c>
      <c r="E5" s="25">
        <v>5.0000000000000001E-3</v>
      </c>
      <c r="F5" s="48"/>
      <c r="G5" s="54"/>
      <c r="H5" s="2" t="s">
        <v>42</v>
      </c>
      <c r="M5" s="56">
        <v>87900000</v>
      </c>
    </row>
    <row r="6" spans="1:15" x14ac:dyDescent="0.25">
      <c r="A6" s="2" t="s">
        <v>21</v>
      </c>
      <c r="E6" s="26">
        <v>0.01</v>
      </c>
      <c r="F6" s="48">
        <v>124627644</v>
      </c>
      <c r="G6" s="48">
        <f>+F24/F6</f>
        <v>0.77583108286954394</v>
      </c>
      <c r="H6" s="2" t="s">
        <v>44</v>
      </c>
      <c r="M6" s="56">
        <v>123516000000</v>
      </c>
    </row>
    <row r="7" spans="1:15" x14ac:dyDescent="0.25">
      <c r="A7" s="23" t="s">
        <v>37</v>
      </c>
      <c r="B7" s="27"/>
      <c r="E7" s="24">
        <v>0</v>
      </c>
      <c r="F7" s="48">
        <v>0</v>
      </c>
      <c r="G7" s="48">
        <f>+F7*1.00141</f>
        <v>0</v>
      </c>
      <c r="H7" s="2" t="s">
        <v>41</v>
      </c>
      <c r="M7" s="56">
        <v>135782000000</v>
      </c>
    </row>
    <row r="8" spans="1:15" x14ac:dyDescent="0.25">
      <c r="A8" s="23"/>
      <c r="B8" s="27"/>
      <c r="E8" s="24"/>
      <c r="F8" s="48"/>
      <c r="G8" s="48"/>
      <c r="H8" s="2" t="s">
        <v>46</v>
      </c>
      <c r="M8" s="56">
        <v>10243000000</v>
      </c>
    </row>
    <row r="9" spans="1:15" x14ac:dyDescent="0.25">
      <c r="A9" s="23"/>
      <c r="B9" s="27"/>
      <c r="E9" s="14"/>
      <c r="F9" s="48"/>
      <c r="G9" s="48"/>
      <c r="H9" s="2" t="s">
        <v>24</v>
      </c>
      <c r="L9" s="7"/>
      <c r="M9" s="56">
        <v>1545</v>
      </c>
    </row>
    <row r="10" spans="1:15" x14ac:dyDescent="0.25">
      <c r="A10" s="23"/>
      <c r="B10" s="27"/>
      <c r="E10" s="14"/>
      <c r="F10" s="48"/>
      <c r="G10" s="48"/>
      <c r="H10" s="2" t="s">
        <v>45</v>
      </c>
      <c r="M10" s="56">
        <v>19.53</v>
      </c>
    </row>
    <row r="11" spans="1:15" x14ac:dyDescent="0.25">
      <c r="A11" s="1" t="s">
        <v>39</v>
      </c>
      <c r="E11" s="29"/>
      <c r="F11" s="48"/>
      <c r="G11" s="48"/>
      <c r="H11" s="2" t="s">
        <v>70</v>
      </c>
      <c r="L11" s="14"/>
      <c r="M11" s="56"/>
    </row>
    <row r="12" spans="1:15" x14ac:dyDescent="0.25">
      <c r="A12" s="30" t="s">
        <v>22</v>
      </c>
      <c r="E12" s="24">
        <v>0.7</v>
      </c>
      <c r="F12" s="48">
        <f>-'2014IncomeStatement'!B6*E12</f>
        <v>86461200000</v>
      </c>
      <c r="G12" s="48"/>
      <c r="H12" s="23" t="s">
        <v>71</v>
      </c>
      <c r="I12" s="27"/>
      <c r="M12" s="56">
        <v>6235100000</v>
      </c>
    </row>
    <row r="13" spans="1:15" x14ac:dyDescent="0.25">
      <c r="A13" s="30" t="s">
        <v>23</v>
      </c>
      <c r="E13" s="24">
        <v>0.1</v>
      </c>
      <c r="F13" s="48">
        <f>-'2014IncomeStatement'!B6*Assumptions!E13</f>
        <v>12351600000</v>
      </c>
      <c r="G13" s="48">
        <f>+F13/F24</f>
        <v>127.74433757368909</v>
      </c>
      <c r="M13" s="56"/>
    </row>
    <row r="14" spans="1:15" x14ac:dyDescent="0.25">
      <c r="A14" s="31" t="s">
        <v>34</v>
      </c>
      <c r="B14" s="23"/>
      <c r="E14" s="24">
        <v>0.1</v>
      </c>
      <c r="F14" s="48">
        <f>-'2014IncomeStatement'!B6*Assumptions!E14</f>
        <v>12351600000</v>
      </c>
      <c r="G14" s="48"/>
      <c r="M14" s="56"/>
    </row>
    <row r="15" spans="1:15" x14ac:dyDescent="0.25">
      <c r="A15" s="31" t="s">
        <v>15</v>
      </c>
      <c r="B15" s="23"/>
      <c r="E15" s="24">
        <v>0.1</v>
      </c>
      <c r="F15" s="48">
        <f>-'2014IncomeStatement'!B6*Assumptions!E15</f>
        <v>12351600000</v>
      </c>
      <c r="G15" s="54"/>
      <c r="M15" s="19"/>
      <c r="O15" s="32"/>
    </row>
    <row r="16" spans="1:15" x14ac:dyDescent="0.25">
      <c r="A16" s="31" t="s">
        <v>48</v>
      </c>
      <c r="B16" s="23"/>
      <c r="E16" s="24">
        <v>0.04</v>
      </c>
      <c r="F16" s="48">
        <f>-'2014IncomeStatement'!B10*E16</f>
        <v>0</v>
      </c>
      <c r="G16" s="54"/>
      <c r="J16" s="4"/>
    </row>
    <row r="17" spans="1:10" x14ac:dyDescent="0.25">
      <c r="A17" s="31" t="s">
        <v>49</v>
      </c>
      <c r="B17" s="23"/>
      <c r="E17" s="24">
        <v>0.7</v>
      </c>
      <c r="F17" s="48">
        <f>-'2014IncomeStatement'!B7*E17</f>
        <v>7170100000</v>
      </c>
      <c r="G17" s="54"/>
      <c r="H17" s="20">
        <f>+M4/F6</f>
        <v>50.735132247224378</v>
      </c>
      <c r="I17" s="52">
        <f>+M4/H17</f>
        <v>124627644</v>
      </c>
      <c r="J17" s="33" t="s">
        <v>13</v>
      </c>
    </row>
    <row r="18" spans="1:10" x14ac:dyDescent="0.25">
      <c r="A18" s="31" t="s">
        <v>50</v>
      </c>
      <c r="E18" s="24">
        <v>0.3</v>
      </c>
      <c r="F18" s="48">
        <f>-'2014IncomeStatement'!B7*E18</f>
        <v>3072900000</v>
      </c>
      <c r="G18" s="54"/>
      <c r="I18" s="52"/>
    </row>
    <row r="19" spans="1:10" x14ac:dyDescent="0.25">
      <c r="E19" s="4"/>
      <c r="F19" s="48"/>
      <c r="G19" s="50"/>
      <c r="I19" s="52"/>
    </row>
    <row r="20" spans="1:10" x14ac:dyDescent="0.25">
      <c r="F20" s="48"/>
      <c r="G20" s="50"/>
      <c r="I20" s="52"/>
    </row>
    <row r="21" spans="1:10" x14ac:dyDescent="0.25">
      <c r="A21" s="42"/>
      <c r="B21" s="42"/>
      <c r="C21" s="42"/>
      <c r="D21" s="42"/>
      <c r="E21" s="42"/>
      <c r="F21" s="48"/>
      <c r="G21" s="50"/>
      <c r="I21" s="52"/>
    </row>
    <row r="22" spans="1:10" x14ac:dyDescent="0.25">
      <c r="A22" s="43" t="s">
        <v>54</v>
      </c>
      <c r="B22" s="43"/>
      <c r="C22" s="43"/>
      <c r="D22" s="43"/>
      <c r="E22" s="43"/>
      <c r="F22" s="63"/>
      <c r="G22" s="64"/>
      <c r="I22" s="52"/>
    </row>
    <row r="23" spans="1:10" x14ac:dyDescent="0.25">
      <c r="F23" s="48"/>
      <c r="G23" s="50"/>
      <c r="I23" s="52"/>
    </row>
    <row r="24" spans="1:10" x14ac:dyDescent="0.25">
      <c r="A24" s="2" t="s">
        <v>32</v>
      </c>
      <c r="E24" s="59">
        <v>0.1</v>
      </c>
      <c r="F24" s="48">
        <f>M5*1.1</f>
        <v>96690000.000000015</v>
      </c>
      <c r="G24" s="65"/>
      <c r="I24" s="52"/>
    </row>
    <row r="25" spans="1:10" x14ac:dyDescent="0.25">
      <c r="A25" s="2" t="s">
        <v>17</v>
      </c>
      <c r="E25" s="59">
        <v>5.0000000000000001E-3</v>
      </c>
      <c r="F25" s="48">
        <f>M9*1.01</f>
        <v>1560.45</v>
      </c>
      <c r="G25" s="54"/>
      <c r="I25" s="52">
        <f>+M12/H17</f>
        <v>122895116.73325953</v>
      </c>
    </row>
    <row r="26" spans="1:10" x14ac:dyDescent="0.25">
      <c r="A26" s="2" t="s">
        <v>33</v>
      </c>
      <c r="E26" s="60">
        <v>0.01</v>
      </c>
      <c r="F26" s="48">
        <f>M10-(M10*0.01)</f>
        <v>19.334700000000002</v>
      </c>
      <c r="G26" s="54"/>
    </row>
    <row r="27" spans="1:10" x14ac:dyDescent="0.25">
      <c r="A27" s="2" t="s">
        <v>18</v>
      </c>
      <c r="E27" s="24">
        <v>0.04</v>
      </c>
      <c r="F27" s="48">
        <f>F18*1.04</f>
        <v>3195816000</v>
      </c>
      <c r="G27" s="66"/>
    </row>
    <row r="28" spans="1:10" x14ac:dyDescent="0.25">
      <c r="A28" s="2" t="s">
        <v>19</v>
      </c>
      <c r="E28" s="24">
        <v>0.09</v>
      </c>
      <c r="F28" s="48">
        <f>F17-(F17*0.09)</f>
        <v>6524791000</v>
      </c>
      <c r="G28" s="66"/>
    </row>
    <row r="29" spans="1:10" x14ac:dyDescent="0.25">
      <c r="A29" s="2" t="s">
        <v>47</v>
      </c>
      <c r="E29" s="24">
        <v>0</v>
      </c>
      <c r="F29" s="48">
        <v>0</v>
      </c>
      <c r="G29" s="67"/>
    </row>
    <row r="30" spans="1:10" x14ac:dyDescent="0.25">
      <c r="F30" s="48"/>
      <c r="G30" s="50"/>
    </row>
    <row r="31" spans="1:10" x14ac:dyDescent="0.25">
      <c r="A31" s="34" t="s">
        <v>97</v>
      </c>
    </row>
  </sheetData>
  <mergeCells count="3">
    <mergeCell ref="A21:E21"/>
    <mergeCell ref="A22:E22"/>
    <mergeCell ref="H2:K2"/>
  </mergeCells>
  <pageMargins left="0.7" right="0.7" top="0.75" bottom="0.75" header="0.3" footer="0.3"/>
  <pageSetup scale="66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zoomScale="80" zoomScaleNormal="80" workbookViewId="0">
      <selection activeCell="C21" sqref="C21"/>
    </sheetView>
  </sheetViews>
  <sheetFormatPr defaultRowHeight="15.75" x14ac:dyDescent="0.25"/>
  <cols>
    <col min="1" max="1" width="41.875" style="33" customWidth="1"/>
    <col min="2" max="2" width="18.75" style="33" customWidth="1"/>
    <col min="3" max="3" width="18.875" style="33" bestFit="1" customWidth="1"/>
    <col min="4" max="11" width="9" style="33"/>
    <col min="12" max="12" width="17" style="33" customWidth="1"/>
    <col min="13" max="16384" width="9" style="33"/>
  </cols>
  <sheetData>
    <row r="1" spans="1:12" x14ac:dyDescent="0.25">
      <c r="A1" s="46" t="s">
        <v>56</v>
      </c>
      <c r="B1" s="47"/>
      <c r="C1" s="47"/>
      <c r="F1" s="34" t="s">
        <v>64</v>
      </c>
      <c r="G1" s="34"/>
      <c r="H1" s="34"/>
      <c r="I1" s="34"/>
      <c r="J1" s="34"/>
    </row>
    <row r="2" spans="1:12" x14ac:dyDescent="0.25">
      <c r="A2" s="47"/>
    </row>
    <row r="4" spans="1:12" x14ac:dyDescent="0.25">
      <c r="A4" s="34" t="s">
        <v>0</v>
      </c>
      <c r="B4" s="48"/>
      <c r="C4" s="48">
        <f>Assumptions!M7</f>
        <v>135782000000</v>
      </c>
      <c r="F4" s="33" t="s">
        <v>57</v>
      </c>
      <c r="L4" s="48">
        <f>Assumptions!M7</f>
        <v>135782000000</v>
      </c>
    </row>
    <row r="5" spans="1:12" x14ac:dyDescent="0.25">
      <c r="A5" s="34" t="s">
        <v>1</v>
      </c>
      <c r="B5" s="48"/>
      <c r="C5" s="48"/>
      <c r="F5" s="33" t="s">
        <v>58</v>
      </c>
      <c r="L5" s="49">
        <f>-(Assumptions!E12+Assumptions!E13+Assumptions!E14)+Assumptions!M12</f>
        <v>6235099999.1000004</v>
      </c>
    </row>
    <row r="6" spans="1:12" x14ac:dyDescent="0.25">
      <c r="A6" s="33" t="s">
        <v>2</v>
      </c>
      <c r="B6" s="48">
        <f>-Assumptions!M6</f>
        <v>-123516000000</v>
      </c>
      <c r="C6" s="48"/>
      <c r="F6" s="33" t="s">
        <v>59</v>
      </c>
      <c r="L6" s="48">
        <f>L4+L5</f>
        <v>142017099999.10001</v>
      </c>
    </row>
    <row r="7" spans="1:12" x14ac:dyDescent="0.25">
      <c r="A7" s="33" t="s">
        <v>3</v>
      </c>
      <c r="B7" s="49">
        <f>-Assumptions!M8</f>
        <v>-10243000000</v>
      </c>
      <c r="C7" s="58"/>
      <c r="F7" s="33" t="s">
        <v>60</v>
      </c>
      <c r="L7" s="49">
        <f>Assumptions!F18</f>
        <v>3072900000</v>
      </c>
    </row>
    <row r="8" spans="1:12" x14ac:dyDescent="0.25">
      <c r="A8" s="9" t="s">
        <v>4</v>
      </c>
      <c r="B8" s="58"/>
      <c r="C8" s="49">
        <f>B6+B7</f>
        <v>-133759000000</v>
      </c>
      <c r="F8" s="33" t="s">
        <v>27</v>
      </c>
      <c r="L8" s="48">
        <f>L6+L7</f>
        <v>145089999999.10001</v>
      </c>
    </row>
    <row r="9" spans="1:12" x14ac:dyDescent="0.25">
      <c r="A9" s="33" t="s">
        <v>63</v>
      </c>
      <c r="B9" s="48"/>
      <c r="C9" s="48">
        <f>C4+C8</f>
        <v>2023000000</v>
      </c>
      <c r="F9" s="33" t="s">
        <v>61</v>
      </c>
      <c r="L9" s="49">
        <f>-(Assumptions!F15+Assumptions!F17)</f>
        <v>-19521700000</v>
      </c>
    </row>
    <row r="10" spans="1:12" x14ac:dyDescent="0.25">
      <c r="A10" s="33" t="s">
        <v>35</v>
      </c>
      <c r="B10" s="48"/>
      <c r="C10" s="48">
        <f>-797*1000000</f>
        <v>-797000000</v>
      </c>
      <c r="F10" s="33" t="s">
        <v>62</v>
      </c>
      <c r="L10" s="48">
        <f>L8+L9</f>
        <v>125568299999.10001</v>
      </c>
    </row>
    <row r="11" spans="1:12" x14ac:dyDescent="0.25">
      <c r="A11" s="33" t="s">
        <v>36</v>
      </c>
      <c r="B11" s="48"/>
      <c r="C11" s="58">
        <f>76*1000000</f>
        <v>76000000</v>
      </c>
      <c r="F11" s="33" t="s">
        <v>35</v>
      </c>
      <c r="L11" s="48">
        <f>C10</f>
        <v>-797000000</v>
      </c>
    </row>
    <row r="12" spans="1:12" x14ac:dyDescent="0.25">
      <c r="A12" s="33" t="s">
        <v>51</v>
      </c>
      <c r="B12" s="48"/>
      <c r="C12" s="49">
        <f>1275*1000</f>
        <v>1275000</v>
      </c>
      <c r="F12" s="33" t="s">
        <v>36</v>
      </c>
      <c r="L12" s="48">
        <f t="shared" ref="L12:L13" si="0">C11</f>
        <v>76000000</v>
      </c>
    </row>
    <row r="13" spans="1:12" x14ac:dyDescent="0.25">
      <c r="A13" s="34" t="s">
        <v>52</v>
      </c>
      <c r="B13" s="48"/>
      <c r="C13" s="48">
        <f>C9+C10+C11+C12</f>
        <v>1303275000</v>
      </c>
      <c r="F13" s="33" t="s">
        <v>51</v>
      </c>
      <c r="L13" s="49">
        <f t="shared" si="0"/>
        <v>1275000</v>
      </c>
    </row>
    <row r="14" spans="1:12" x14ac:dyDescent="0.25">
      <c r="B14" s="19"/>
      <c r="C14" s="19"/>
      <c r="F14" s="34" t="s">
        <v>52</v>
      </c>
      <c r="L14" s="48">
        <f>L10+L11+L12+L13</f>
        <v>124848574999.10001</v>
      </c>
    </row>
    <row r="15" spans="1:12" x14ac:dyDescent="0.25">
      <c r="L15" s="50"/>
    </row>
    <row r="17" spans="5:7" x14ac:dyDescent="0.25">
      <c r="G17" s="3"/>
    </row>
    <row r="18" spans="5:7" x14ac:dyDescent="0.25">
      <c r="G18" s="15"/>
    </row>
    <row r="19" spans="5:7" x14ac:dyDescent="0.25">
      <c r="E19" s="34"/>
      <c r="G19" s="51"/>
    </row>
  </sheetData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topLeftCell="E4" zoomScale="80" zoomScaleNormal="80" workbookViewId="0">
      <selection activeCell="H25" sqref="H25"/>
    </sheetView>
  </sheetViews>
  <sheetFormatPr defaultRowHeight="15" x14ac:dyDescent="0.25"/>
  <cols>
    <col min="1" max="1" width="30" customWidth="1"/>
    <col min="2" max="2" width="14.875" customWidth="1"/>
    <col min="3" max="3" width="18.25" customWidth="1"/>
    <col min="4" max="4" width="17.375" customWidth="1"/>
    <col min="6" max="6" width="13.625" customWidth="1"/>
    <col min="7" max="7" width="48.375" customWidth="1"/>
    <col min="8" max="8" width="20" bestFit="1" customWidth="1"/>
    <col min="9" max="9" width="18.375" bestFit="1" customWidth="1"/>
    <col min="10" max="10" width="15.875" customWidth="1"/>
    <col min="11" max="11" width="24.375" bestFit="1" customWidth="1"/>
    <col min="12" max="12" width="21" bestFit="1" customWidth="1"/>
    <col min="14" max="14" width="12" bestFit="1" customWidth="1"/>
  </cols>
  <sheetData>
    <row r="1" spans="1:25" ht="15.75" x14ac:dyDescent="0.25">
      <c r="A1" s="44" t="s">
        <v>77</v>
      </c>
      <c r="B1" s="44"/>
      <c r="C1" s="44"/>
      <c r="D1" s="44"/>
      <c r="E1" s="44"/>
      <c r="F1" s="44"/>
      <c r="G1" s="44" t="s">
        <v>78</v>
      </c>
      <c r="H1" s="44"/>
      <c r="I1" s="44"/>
      <c r="J1" s="1" t="s">
        <v>73</v>
      </c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5.7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44"/>
      <c r="L2" s="44"/>
      <c r="M2" s="44"/>
      <c r="N2" s="44"/>
      <c r="O2" s="44"/>
      <c r="P2" s="44"/>
      <c r="Q2" s="2"/>
      <c r="R2" s="2"/>
      <c r="S2" s="2"/>
      <c r="T2" s="2"/>
      <c r="U2" s="2"/>
      <c r="V2" s="2"/>
      <c r="W2" s="2"/>
      <c r="X2" s="2"/>
      <c r="Y2" s="2"/>
    </row>
    <row r="3" spans="1:25" ht="15.75" x14ac:dyDescent="0.25">
      <c r="A3" s="2"/>
      <c r="B3" s="15" t="s">
        <v>7</v>
      </c>
      <c r="C3" s="16" t="s">
        <v>8</v>
      </c>
      <c r="D3" s="16" t="s">
        <v>9</v>
      </c>
      <c r="E3" s="2"/>
      <c r="F3" s="2"/>
      <c r="G3" s="2" t="s">
        <v>72</v>
      </c>
      <c r="H3" s="19">
        <f>+B4</f>
        <v>87900000</v>
      </c>
      <c r="I3" s="2"/>
      <c r="J3" s="3" t="s">
        <v>74</v>
      </c>
      <c r="K3" s="2"/>
      <c r="L3" s="19">
        <f>+Assumptions!F12</f>
        <v>86461200000</v>
      </c>
      <c r="M3" s="2"/>
      <c r="N3" s="4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.75" x14ac:dyDescent="0.25">
      <c r="A4" s="1" t="s">
        <v>10</v>
      </c>
      <c r="B4" s="19">
        <f>+Assumptions!M5</f>
        <v>87900000</v>
      </c>
      <c r="C4" s="19">
        <f>+Assumptions!M9</f>
        <v>1545</v>
      </c>
      <c r="D4" s="36">
        <f>B4*C4</f>
        <v>135805500000</v>
      </c>
      <c r="E4" s="2"/>
      <c r="F4" s="2"/>
      <c r="G4" s="2" t="s">
        <v>6</v>
      </c>
      <c r="H4" s="36">
        <f>+Assumptions!G7</f>
        <v>0</v>
      </c>
      <c r="I4" s="2"/>
      <c r="J4" s="4"/>
      <c r="K4" s="2"/>
      <c r="L4" s="5"/>
      <c r="M4" s="3"/>
      <c r="N4" s="3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5.75" x14ac:dyDescent="0.25">
      <c r="A5" s="9" t="s">
        <v>5</v>
      </c>
      <c r="B5" s="2"/>
      <c r="C5" s="2"/>
      <c r="D5" s="4"/>
      <c r="E5" s="2"/>
      <c r="F5" s="2"/>
      <c r="G5" s="2" t="s">
        <v>11</v>
      </c>
      <c r="H5" s="37">
        <f>SUM(H3:H4)</f>
        <v>87900000</v>
      </c>
      <c r="I5" s="2"/>
      <c r="J5" s="2"/>
      <c r="K5" s="1"/>
      <c r="L5" s="6"/>
      <c r="M5" s="7"/>
      <c r="N5" s="8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5.75" x14ac:dyDescent="0.25">
      <c r="A6" s="2"/>
      <c r="B6" s="2"/>
      <c r="C6" s="2"/>
      <c r="D6" s="2"/>
      <c r="E6" s="2"/>
      <c r="F6" s="2"/>
      <c r="G6" s="2" t="s">
        <v>12</v>
      </c>
      <c r="H6" s="19">
        <f>+H7-H5</f>
        <v>36727644</v>
      </c>
      <c r="I6" s="2"/>
      <c r="J6" s="2"/>
      <c r="K6" s="9"/>
      <c r="L6" s="2"/>
      <c r="M6" s="2"/>
      <c r="N6" s="4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5.75" x14ac:dyDescent="0.25">
      <c r="A7" s="2"/>
      <c r="B7" s="2"/>
      <c r="C7" s="2"/>
      <c r="D7" s="2"/>
      <c r="E7" s="2"/>
      <c r="F7" s="2"/>
      <c r="G7" s="2" t="s">
        <v>13</v>
      </c>
      <c r="H7" s="38">
        <f>+Assumptions!I17</f>
        <v>124627644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5.75" x14ac:dyDescent="0.25">
      <c r="A8" s="2"/>
      <c r="B8" s="2"/>
      <c r="C8" s="2"/>
      <c r="D8" s="2"/>
      <c r="E8" s="2"/>
      <c r="F8" s="2"/>
      <c r="G8" s="2"/>
      <c r="H8" s="38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5.75" x14ac:dyDescent="0.25">
      <c r="A9" s="2"/>
      <c r="B9" s="2"/>
      <c r="C9" s="2"/>
      <c r="D9" s="2"/>
      <c r="E9" s="2"/>
      <c r="F9" s="2"/>
      <c r="G9" s="2"/>
      <c r="H9" s="19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5.75" x14ac:dyDescent="0.25">
      <c r="A10" s="1" t="s">
        <v>75</v>
      </c>
      <c r="B10" s="2"/>
      <c r="C10" s="2"/>
      <c r="D10" s="2"/>
      <c r="E10" s="2"/>
      <c r="F10" s="2"/>
      <c r="G10" s="1" t="s">
        <v>79</v>
      </c>
      <c r="H10" s="19"/>
      <c r="I10" s="2"/>
      <c r="J10" s="1" t="s">
        <v>81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5.75" x14ac:dyDescent="0.25">
      <c r="A11" s="2"/>
      <c r="B11" s="2"/>
      <c r="C11" s="2"/>
      <c r="D11" s="2"/>
      <c r="E11" s="2"/>
      <c r="F11" s="2"/>
      <c r="G11" s="2"/>
      <c r="H11" s="19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5.75" x14ac:dyDescent="0.25">
      <c r="A12" s="2" t="s">
        <v>103</v>
      </c>
      <c r="B12" s="19">
        <f>+Assumptions!I17</f>
        <v>124627644</v>
      </c>
      <c r="C12" s="19">
        <f>+B12*Assumptions!G13</f>
        <v>15920475826.149548</v>
      </c>
      <c r="D12" s="2"/>
      <c r="E12" s="2"/>
      <c r="F12" s="2"/>
      <c r="G12" s="2" t="s">
        <v>14</v>
      </c>
      <c r="H12" s="19">
        <f>+Assumptions!F14</f>
        <v>12351600000</v>
      </c>
      <c r="I12" s="2"/>
      <c r="J12" s="2" t="s">
        <v>82</v>
      </c>
      <c r="K12" s="56">
        <f>+Assumptions!F18</f>
        <v>3072900000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5.75" x14ac:dyDescent="0.25">
      <c r="A13" s="2"/>
      <c r="B13" s="2"/>
      <c r="C13" s="2"/>
      <c r="D13" s="2"/>
      <c r="E13" s="2"/>
      <c r="F13" s="2"/>
      <c r="G13" s="2" t="s">
        <v>80</v>
      </c>
      <c r="H13" s="36">
        <f>+Assumptions!F15</f>
        <v>12351600000</v>
      </c>
      <c r="I13" s="2"/>
      <c r="J13" s="2" t="s">
        <v>83</v>
      </c>
      <c r="K13" s="55">
        <f>+Assumptions!F17</f>
        <v>7170100000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5.75" x14ac:dyDescent="0.25">
      <c r="A14" s="2"/>
      <c r="B14" s="2"/>
      <c r="C14" s="2"/>
      <c r="D14" s="2"/>
      <c r="E14" s="2"/>
      <c r="F14" s="2"/>
      <c r="G14" s="2" t="s">
        <v>16</v>
      </c>
      <c r="H14" s="19">
        <f>SUM(H12:H13)</f>
        <v>24703200000</v>
      </c>
      <c r="I14" s="2"/>
      <c r="J14" s="2" t="s">
        <v>5</v>
      </c>
      <c r="K14" s="56">
        <f>SUM(K12:K13)</f>
        <v>10243000000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5.7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5.75" x14ac:dyDescent="0.25">
      <c r="A16" s="44" t="s">
        <v>100</v>
      </c>
      <c r="B16" s="45"/>
      <c r="C16" s="45"/>
      <c r="D16" s="45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17" ht="15.75" x14ac:dyDescent="0.25">
      <c r="A17" s="2"/>
      <c r="B17" s="2"/>
      <c r="C17" s="2"/>
      <c r="D17" s="2"/>
      <c r="E17" s="2"/>
      <c r="F17" s="2"/>
      <c r="G17" s="44" t="s">
        <v>101</v>
      </c>
      <c r="H17" s="44"/>
      <c r="I17" s="44"/>
      <c r="J17" s="44"/>
      <c r="K17" s="2"/>
      <c r="L17" s="2"/>
      <c r="M17" s="2"/>
      <c r="N17" s="2"/>
      <c r="O17" s="2"/>
      <c r="P17" s="2"/>
      <c r="Q17" s="2"/>
    </row>
    <row r="18" spans="1:17" ht="15.75" x14ac:dyDescent="0.25">
      <c r="A18" s="2" t="s">
        <v>84</v>
      </c>
      <c r="B18" s="2"/>
      <c r="C18" s="19">
        <f>+Assumptions!F12</f>
        <v>86461200000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5.75" x14ac:dyDescent="0.25">
      <c r="A19" s="2" t="s">
        <v>66</v>
      </c>
      <c r="B19" s="2"/>
      <c r="C19" s="19">
        <f>+Assumptions!F13</f>
        <v>12351600000</v>
      </c>
      <c r="D19" s="2"/>
      <c r="E19" s="2"/>
      <c r="F19" s="2"/>
      <c r="G19" s="2" t="s">
        <v>86</v>
      </c>
      <c r="H19" s="19">
        <f>+Assumptions!M7</f>
        <v>135782000000</v>
      </c>
      <c r="I19" s="19"/>
      <c r="J19" s="2"/>
      <c r="K19" s="2"/>
      <c r="L19" s="2"/>
      <c r="M19" s="2"/>
      <c r="N19" s="2"/>
      <c r="O19" s="2"/>
      <c r="P19" s="2"/>
      <c r="Q19" s="2"/>
    </row>
    <row r="20" spans="1:17" ht="15.75" x14ac:dyDescent="0.25">
      <c r="A20" s="2" t="s">
        <v>67</v>
      </c>
      <c r="B20" s="2"/>
      <c r="C20" s="57">
        <f>+Assumptions!F14+Assumptions!F15</f>
        <v>24703200000</v>
      </c>
      <c r="D20" s="2"/>
      <c r="E20" s="2"/>
      <c r="F20" s="2"/>
      <c r="G20" s="17" t="s">
        <v>87</v>
      </c>
      <c r="H20" s="19">
        <f>+C21</f>
        <v>123516000000</v>
      </c>
      <c r="I20" s="19"/>
      <c r="J20" s="2"/>
      <c r="K20" s="2"/>
      <c r="L20" s="2"/>
      <c r="M20" s="2"/>
      <c r="N20" s="2"/>
      <c r="O20" s="2"/>
      <c r="P20" s="2"/>
      <c r="Q20" s="2"/>
    </row>
    <row r="21" spans="1:17" ht="15.75" x14ac:dyDescent="0.25">
      <c r="A21" s="2" t="s">
        <v>68</v>
      </c>
      <c r="B21" s="2"/>
      <c r="C21" s="19">
        <f>SUM(C18:C20)</f>
        <v>123516000000</v>
      </c>
      <c r="D21" s="2"/>
      <c r="E21" s="18"/>
      <c r="F21" s="2"/>
      <c r="G21" s="17" t="s">
        <v>25</v>
      </c>
      <c r="H21" s="36">
        <f>+Assumptions!F18</f>
        <v>3072900000</v>
      </c>
      <c r="I21" s="19"/>
      <c r="J21" s="2"/>
      <c r="K21" s="2"/>
      <c r="L21" s="2"/>
      <c r="M21" s="2"/>
      <c r="N21" s="2"/>
      <c r="O21" s="2"/>
      <c r="P21" s="2"/>
      <c r="Q21" s="2"/>
    </row>
    <row r="22" spans="1:17" ht="15.75" x14ac:dyDescent="0.25">
      <c r="A22" s="2" t="s">
        <v>69</v>
      </c>
      <c r="B22" s="2"/>
      <c r="C22" s="19">
        <f>+H6*Assumptions!H17</f>
        <v>1863381875.468977</v>
      </c>
      <c r="D22" s="2"/>
      <c r="E22" s="11"/>
      <c r="F22" s="2"/>
      <c r="G22" s="2" t="s">
        <v>26</v>
      </c>
      <c r="H22" s="19"/>
      <c r="I22" s="36">
        <f>SUM(H20:H21)</f>
        <v>126588900000</v>
      </c>
      <c r="J22" s="2"/>
      <c r="K22" s="2"/>
      <c r="L22" s="2"/>
      <c r="M22" s="2"/>
      <c r="N22" s="2"/>
      <c r="O22" s="2"/>
      <c r="P22" s="2"/>
      <c r="Q22" s="2"/>
    </row>
    <row r="23" spans="1:17" ht="15.75" x14ac:dyDescent="0.25">
      <c r="A23" s="2" t="s">
        <v>85</v>
      </c>
      <c r="B23" s="2"/>
      <c r="C23" s="36">
        <f>+Assumptions!M12</f>
        <v>6235100000</v>
      </c>
      <c r="D23" s="2"/>
      <c r="E23" s="2"/>
      <c r="F23" s="2"/>
      <c r="G23" s="2" t="s">
        <v>27</v>
      </c>
      <c r="H23" s="19">
        <f>+H19-I22</f>
        <v>9193100000</v>
      </c>
      <c r="I23" s="19"/>
      <c r="J23" s="2"/>
      <c r="K23" s="2"/>
      <c r="L23" s="2"/>
      <c r="M23" s="2"/>
      <c r="N23" s="2"/>
      <c r="O23" s="2"/>
      <c r="P23" s="2"/>
      <c r="Q23" s="2"/>
    </row>
    <row r="24" spans="1:17" ht="15.75" x14ac:dyDescent="0.25">
      <c r="A24" s="2" t="s">
        <v>65</v>
      </c>
      <c r="B24" s="2"/>
      <c r="C24" s="19">
        <f>C21+C22-C23</f>
        <v>119144281875.46898</v>
      </c>
      <c r="D24" s="2"/>
      <c r="E24" s="2"/>
      <c r="F24" s="2"/>
      <c r="G24" s="17" t="s">
        <v>28</v>
      </c>
      <c r="H24" s="19">
        <f>+H13</f>
        <v>12351600000</v>
      </c>
      <c r="I24" s="19"/>
      <c r="J24" s="2"/>
      <c r="K24" s="2"/>
      <c r="L24" s="2"/>
      <c r="M24" s="2"/>
      <c r="N24" s="2"/>
      <c r="O24" s="2"/>
      <c r="P24" s="2"/>
      <c r="Q24" s="2"/>
    </row>
    <row r="25" spans="1:17" ht="15.75" x14ac:dyDescent="0.25">
      <c r="A25" s="2"/>
      <c r="B25" s="2"/>
      <c r="C25" s="2"/>
      <c r="D25" s="2"/>
      <c r="E25" s="2"/>
      <c r="F25" s="2"/>
      <c r="G25" s="17" t="s">
        <v>29</v>
      </c>
      <c r="H25" s="36">
        <f>+Assumptions!F17</f>
        <v>7170100000</v>
      </c>
      <c r="I25" s="19"/>
      <c r="J25" s="2"/>
      <c r="K25" s="2"/>
      <c r="L25" s="2"/>
      <c r="M25" s="2"/>
      <c r="N25" s="2"/>
      <c r="O25" s="2"/>
      <c r="P25" s="2"/>
      <c r="Q25" s="2"/>
    </row>
    <row r="26" spans="1:17" ht="15.75" x14ac:dyDescent="0.25">
      <c r="A26" s="2"/>
      <c r="B26" s="2"/>
      <c r="C26" s="2"/>
      <c r="D26" s="2"/>
      <c r="E26" s="2"/>
      <c r="F26" s="2"/>
      <c r="G26" s="17" t="s">
        <v>30</v>
      </c>
      <c r="H26" s="19"/>
      <c r="I26" s="36">
        <f>SUM(H24:H25)</f>
        <v>19521700000</v>
      </c>
      <c r="J26" s="2"/>
      <c r="K26" s="2"/>
      <c r="L26" s="2"/>
      <c r="M26" s="2"/>
      <c r="N26" s="2"/>
      <c r="O26" s="2"/>
      <c r="P26" s="2"/>
      <c r="Q26" s="2"/>
    </row>
    <row r="27" spans="1:17" ht="15.75" x14ac:dyDescent="0.25">
      <c r="A27" s="2"/>
      <c r="B27" s="2"/>
      <c r="C27" s="2"/>
      <c r="D27" s="2"/>
      <c r="E27" s="2"/>
      <c r="F27" s="2"/>
      <c r="G27" s="9" t="s">
        <v>31</v>
      </c>
      <c r="H27" s="19"/>
      <c r="I27" s="53">
        <f>+H23-I26</f>
        <v>-10328600000</v>
      </c>
      <c r="J27" s="2"/>
      <c r="K27" s="2"/>
      <c r="L27" s="2"/>
      <c r="M27" s="2"/>
      <c r="N27" s="2"/>
      <c r="O27" s="2"/>
      <c r="P27" s="2"/>
      <c r="Q27" s="2"/>
    </row>
    <row r="28" spans="1:17" ht="15.7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5.7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5.7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5.7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15.7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5.7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5.7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5.7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5.7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</sheetData>
  <mergeCells count="5">
    <mergeCell ref="A1:F1"/>
    <mergeCell ref="K2:P2"/>
    <mergeCell ref="G1:I1"/>
    <mergeCell ref="A16:D16"/>
    <mergeCell ref="G17:J17"/>
  </mergeCells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zoomScale="80" zoomScaleNormal="80" workbookViewId="0">
      <selection activeCell="B4" sqref="B4"/>
    </sheetView>
  </sheetViews>
  <sheetFormatPr defaultColWidth="9.125" defaultRowHeight="15.75" x14ac:dyDescent="0.25"/>
  <cols>
    <col min="1" max="1" width="43.125" style="2" customWidth="1"/>
    <col min="2" max="2" width="18.125" style="2" customWidth="1"/>
    <col min="3" max="3" width="11.75" style="2" bestFit="1" customWidth="1"/>
    <col min="4" max="4" width="18.375" style="2" bestFit="1" customWidth="1"/>
    <col min="5" max="5" width="9.125" style="2"/>
    <col min="6" max="6" width="12.875" style="2" customWidth="1"/>
    <col min="7" max="7" width="49.625" style="2" bestFit="1" customWidth="1"/>
    <col min="8" max="8" width="20.875" style="2" bestFit="1" customWidth="1"/>
    <col min="9" max="9" width="21.375" style="2" customWidth="1"/>
    <col min="10" max="11" width="9.125" style="2"/>
    <col min="12" max="12" width="18.25" style="2" bestFit="1" customWidth="1"/>
    <col min="13" max="13" width="9.125" style="2"/>
    <col min="14" max="14" width="16.75" style="2" bestFit="1" customWidth="1"/>
    <col min="15" max="16384" width="9.125" style="2"/>
  </cols>
  <sheetData>
    <row r="1" spans="1:16" x14ac:dyDescent="0.25">
      <c r="A1" s="44" t="s">
        <v>99</v>
      </c>
      <c r="B1" s="44"/>
      <c r="C1" s="44"/>
      <c r="D1" s="44"/>
      <c r="E1" s="44"/>
      <c r="F1" s="44"/>
      <c r="G1" s="44" t="s">
        <v>78</v>
      </c>
      <c r="H1" s="44"/>
      <c r="I1" s="44"/>
      <c r="J1" s="1" t="s">
        <v>73</v>
      </c>
      <c r="K1" s="1"/>
      <c r="L1" s="1"/>
    </row>
    <row r="2" spans="1:16" x14ac:dyDescent="0.25">
      <c r="K2" s="44"/>
      <c r="L2" s="44"/>
      <c r="M2" s="44"/>
      <c r="N2" s="44"/>
      <c r="O2" s="44"/>
      <c r="P2" s="44"/>
    </row>
    <row r="3" spans="1:16" x14ac:dyDescent="0.25">
      <c r="B3" s="15" t="s">
        <v>7</v>
      </c>
      <c r="C3" s="16" t="s">
        <v>8</v>
      </c>
      <c r="D3" s="16" t="s">
        <v>9</v>
      </c>
      <c r="G3" s="2" t="s">
        <v>72</v>
      </c>
      <c r="H3" s="19">
        <f>+B4</f>
        <v>96690000.000000015</v>
      </c>
      <c r="J3" s="3" t="s">
        <v>74</v>
      </c>
      <c r="N3" s="4">
        <f>+B18</f>
        <v>87325812000</v>
      </c>
    </row>
    <row r="4" spans="1:16" x14ac:dyDescent="0.25">
      <c r="A4" s="1" t="s">
        <v>10</v>
      </c>
      <c r="B4" s="19">
        <f>+MasterBudget!B4*1.1</f>
        <v>96690000.000000015</v>
      </c>
      <c r="C4" s="38">
        <f>+Assumptions!F25</f>
        <v>1560.45</v>
      </c>
      <c r="D4" s="38">
        <f>+B4*C4</f>
        <v>150879910500.00003</v>
      </c>
      <c r="G4" s="2" t="s">
        <v>6</v>
      </c>
      <c r="H4" s="36">
        <f>+B23</f>
        <v>6858610000.000001</v>
      </c>
      <c r="J4" s="4"/>
      <c r="L4" s="5"/>
      <c r="M4" s="3"/>
      <c r="N4" s="3"/>
    </row>
    <row r="5" spans="1:16" x14ac:dyDescent="0.25">
      <c r="A5" s="9" t="s">
        <v>5</v>
      </c>
      <c r="C5" s="3"/>
      <c r="D5" s="8"/>
      <c r="G5" s="2" t="s">
        <v>11</v>
      </c>
      <c r="H5" s="37">
        <f>+H3+H4</f>
        <v>6955300000.000001</v>
      </c>
      <c r="K5" s="1"/>
      <c r="L5" s="6"/>
      <c r="M5" s="7"/>
      <c r="N5" s="8"/>
    </row>
    <row r="6" spans="1:16" x14ac:dyDescent="0.25">
      <c r="G6" s="2" t="s">
        <v>12</v>
      </c>
      <c r="H6" s="19">
        <f>+H5-H7</f>
        <v>6830672356.000001</v>
      </c>
      <c r="K6" s="9"/>
      <c r="N6" s="4"/>
    </row>
    <row r="7" spans="1:16" x14ac:dyDescent="0.25">
      <c r="G7" s="2" t="s">
        <v>13</v>
      </c>
      <c r="H7" s="38">
        <f>+Assumptions!I17</f>
        <v>124627644</v>
      </c>
    </row>
    <row r="8" spans="1:16" x14ac:dyDescent="0.25">
      <c r="H8" s="38"/>
    </row>
    <row r="9" spans="1:16" x14ac:dyDescent="0.25">
      <c r="H9" s="19"/>
    </row>
    <row r="10" spans="1:16" x14ac:dyDescent="0.25">
      <c r="A10" s="1" t="s">
        <v>75</v>
      </c>
      <c r="G10" s="1" t="s">
        <v>79</v>
      </c>
      <c r="H10" s="19"/>
      <c r="J10" s="1" t="s">
        <v>81</v>
      </c>
    </row>
    <row r="11" spans="1:16" x14ac:dyDescent="0.25">
      <c r="H11" s="19"/>
    </row>
    <row r="12" spans="1:16" x14ac:dyDescent="0.25">
      <c r="A12" s="2" t="s">
        <v>76</v>
      </c>
      <c r="B12" s="19">
        <f>+B19</f>
        <v>12475116000</v>
      </c>
      <c r="C12" s="4"/>
      <c r="G12" s="2" t="s">
        <v>14</v>
      </c>
      <c r="H12" s="19">
        <f>+MasterBudget!H12*1.01</f>
        <v>12475116000</v>
      </c>
      <c r="J12" s="2" t="s">
        <v>82</v>
      </c>
      <c r="K12" s="4"/>
      <c r="L12" s="39">
        <f>+H21</f>
        <v>3195816000</v>
      </c>
    </row>
    <row r="13" spans="1:16" x14ac:dyDescent="0.25">
      <c r="G13" s="2" t="s">
        <v>80</v>
      </c>
      <c r="H13" s="36">
        <f>+MasterBudget!H13*1.01</f>
        <v>12475116000</v>
      </c>
      <c r="J13" s="2" t="s">
        <v>83</v>
      </c>
      <c r="K13" s="10"/>
      <c r="L13" s="39">
        <f>+H26</f>
        <v>18431894090</v>
      </c>
    </row>
    <row r="14" spans="1:16" x14ac:dyDescent="0.25">
      <c r="G14" s="2" t="s">
        <v>16</v>
      </c>
      <c r="H14" s="19">
        <f>SUM(H12:H13)</f>
        <v>24950232000</v>
      </c>
      <c r="J14" s="2" t="s">
        <v>5</v>
      </c>
      <c r="K14" s="4"/>
      <c r="L14" s="39">
        <f>SUM(L12:L13)</f>
        <v>21627710090</v>
      </c>
    </row>
    <row r="15" spans="1:16" x14ac:dyDescent="0.25">
      <c r="H15" s="19"/>
    </row>
    <row r="16" spans="1:16" x14ac:dyDescent="0.25">
      <c r="A16" s="44" t="s">
        <v>100</v>
      </c>
      <c r="B16" s="45"/>
      <c r="C16" s="45"/>
      <c r="D16" s="45"/>
      <c r="H16" s="19"/>
    </row>
    <row r="17" spans="1:10" x14ac:dyDescent="0.25">
      <c r="G17" s="44" t="s">
        <v>102</v>
      </c>
      <c r="H17" s="44"/>
      <c r="I17" s="44"/>
      <c r="J17" s="44"/>
    </row>
    <row r="18" spans="1:10" x14ac:dyDescent="0.25">
      <c r="A18" s="2" t="s">
        <v>84</v>
      </c>
      <c r="B18" s="19">
        <f>+Assumptions!F12*1.01</f>
        <v>87325812000</v>
      </c>
      <c r="C18" s="8"/>
      <c r="D18" s="3"/>
      <c r="E18" s="3"/>
    </row>
    <row r="19" spans="1:10" x14ac:dyDescent="0.25">
      <c r="A19" s="2" t="s">
        <v>66</v>
      </c>
      <c r="B19" s="19">
        <f>+Assumptions!F13*1.01</f>
        <v>12475116000</v>
      </c>
      <c r="C19" s="8"/>
      <c r="D19" s="3"/>
      <c r="E19" s="3"/>
      <c r="G19" s="2" t="s">
        <v>86</v>
      </c>
      <c r="H19" s="19">
        <f>+D4</f>
        <v>150879910500.00003</v>
      </c>
      <c r="I19" s="4"/>
    </row>
    <row r="20" spans="1:10" x14ac:dyDescent="0.25">
      <c r="A20" s="2" t="s">
        <v>67</v>
      </c>
      <c r="B20" s="36">
        <f>+(Assumptions!F14+Assumptions!F15)*1.01</f>
        <v>24950232000</v>
      </c>
      <c r="C20" s="40"/>
      <c r="D20" s="3"/>
      <c r="E20" s="3"/>
      <c r="G20" s="17" t="s">
        <v>87</v>
      </c>
      <c r="H20" s="19">
        <f>+B21</f>
        <v>124751160000</v>
      </c>
      <c r="I20" s="3"/>
    </row>
    <row r="21" spans="1:10" x14ac:dyDescent="0.25">
      <c r="A21" s="2" t="s">
        <v>68</v>
      </c>
      <c r="B21" s="19">
        <f>SUM(B18:B20)</f>
        <v>124751160000</v>
      </c>
      <c r="C21" s="8"/>
      <c r="D21" s="3"/>
      <c r="E21" s="41"/>
      <c r="G21" s="17" t="s">
        <v>25</v>
      </c>
      <c r="H21" s="36">
        <f>+Assumptions!F27</f>
        <v>3195816000</v>
      </c>
      <c r="I21" s="3"/>
    </row>
    <row r="22" spans="1:10" x14ac:dyDescent="0.25">
      <c r="A22" s="2" t="s">
        <v>69</v>
      </c>
      <c r="B22" s="19">
        <f>+H6</f>
        <v>6830672356.000001</v>
      </c>
      <c r="C22" s="3"/>
      <c r="D22" s="3"/>
      <c r="E22" s="12"/>
      <c r="G22" s="2" t="s">
        <v>26</v>
      </c>
      <c r="H22" s="19">
        <f>SUM(H20:H21)</f>
        <v>127946976000</v>
      </c>
      <c r="I22" s="8"/>
    </row>
    <row r="23" spans="1:10" x14ac:dyDescent="0.25">
      <c r="A23" s="2" t="s">
        <v>85</v>
      </c>
      <c r="B23" s="36">
        <f>+Assumptions!M12*1.1</f>
        <v>6858610000.000001</v>
      </c>
      <c r="C23" s="3"/>
      <c r="D23" s="3"/>
      <c r="E23" s="3"/>
      <c r="G23" s="2" t="s">
        <v>27</v>
      </c>
      <c r="H23" s="19">
        <f>+H19-H22</f>
        <v>22932934500.000031</v>
      </c>
      <c r="I23" s="8"/>
    </row>
    <row r="24" spans="1:10" x14ac:dyDescent="0.25">
      <c r="A24" s="2" t="s">
        <v>65</v>
      </c>
      <c r="B24" s="52">
        <f>B21+B22-B23</f>
        <v>124723222356</v>
      </c>
      <c r="C24" s="8"/>
      <c r="D24" s="3"/>
      <c r="E24" s="3"/>
      <c r="G24" s="17" t="s">
        <v>28</v>
      </c>
      <c r="H24" s="19">
        <f>+H13</f>
        <v>12475116000</v>
      </c>
      <c r="I24" s="3"/>
    </row>
    <row r="25" spans="1:10" x14ac:dyDescent="0.25">
      <c r="C25" s="3"/>
      <c r="D25" s="3"/>
      <c r="E25" s="3"/>
      <c r="G25" s="17" t="s">
        <v>29</v>
      </c>
      <c r="H25" s="36">
        <f>+H13-MasterBudget!H25*0.9091</f>
        <v>5956778090</v>
      </c>
      <c r="I25" s="3"/>
    </row>
    <row r="26" spans="1:10" x14ac:dyDescent="0.25">
      <c r="G26" s="17" t="s">
        <v>30</v>
      </c>
      <c r="H26" s="36">
        <f>+H24+H25</f>
        <v>18431894090</v>
      </c>
      <c r="I26" s="35"/>
    </row>
    <row r="27" spans="1:10" x14ac:dyDescent="0.25">
      <c r="G27" s="9" t="s">
        <v>31</v>
      </c>
      <c r="H27" s="19">
        <f>+H23-H26</f>
        <v>4501040410.0000305</v>
      </c>
      <c r="I27" s="8"/>
    </row>
    <row r="28" spans="1:10" x14ac:dyDescent="0.25">
      <c r="I28" s="3"/>
    </row>
  </sheetData>
  <mergeCells count="5">
    <mergeCell ref="G17:J17"/>
    <mergeCell ref="A1:F1"/>
    <mergeCell ref="G1:I1"/>
    <mergeCell ref="K2:P2"/>
    <mergeCell ref="A16:D16"/>
  </mergeCells>
  <pageMargins left="0.7" right="0.7" top="0.75" bottom="0.75" header="0.3" footer="0.3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="80" zoomScaleNormal="80" workbookViewId="0">
      <selection activeCell="A12" sqref="A12"/>
    </sheetView>
  </sheetViews>
  <sheetFormatPr defaultRowHeight="15.75" x14ac:dyDescent="0.25"/>
  <cols>
    <col min="1" max="1" width="43" style="33" customWidth="1"/>
    <col min="2" max="2" width="25.625" style="33" bestFit="1" customWidth="1"/>
    <col min="3" max="3" width="19.375" style="33" customWidth="1"/>
    <col min="4" max="4" width="23.875" style="33" customWidth="1"/>
    <col min="5" max="5" width="16" style="33" customWidth="1"/>
    <col min="6" max="6" width="18.375" style="33" customWidth="1"/>
    <col min="7" max="7" width="5.625" style="33" customWidth="1"/>
    <col min="8" max="8" width="9" style="33"/>
    <col min="9" max="9" width="19.75" style="33" bestFit="1" customWidth="1"/>
    <col min="10" max="16384" width="9" style="33"/>
  </cols>
  <sheetData>
    <row r="1" spans="1:11" x14ac:dyDescent="0.25">
      <c r="A1" s="21"/>
      <c r="B1" s="21"/>
      <c r="C1" s="21" t="s">
        <v>89</v>
      </c>
      <c r="D1" s="21"/>
      <c r="E1" s="44" t="s">
        <v>88</v>
      </c>
      <c r="F1" s="44"/>
      <c r="H1" s="44" t="s">
        <v>96</v>
      </c>
      <c r="I1" s="44"/>
      <c r="J1" s="44"/>
      <c r="K1" s="44"/>
    </row>
    <row r="3" spans="1:11" x14ac:dyDescent="0.25">
      <c r="A3" s="33" t="s">
        <v>57</v>
      </c>
      <c r="B3" s="48">
        <f>+MasterBudget!D4</f>
        <v>135805500000</v>
      </c>
      <c r="C3" s="48"/>
      <c r="D3" s="48"/>
      <c r="E3" s="48">
        <f>+FlexibleBudget!D4</f>
        <v>150879910500.00003</v>
      </c>
      <c r="F3" s="50"/>
      <c r="G3" s="48"/>
      <c r="H3" s="48"/>
      <c r="I3" s="48">
        <f>+E3-B3</f>
        <v>15074410500.000031</v>
      </c>
      <c r="J3" s="4"/>
    </row>
    <row r="4" spans="1:11" x14ac:dyDescent="0.25">
      <c r="A4" s="17" t="s">
        <v>87</v>
      </c>
      <c r="B4" s="48">
        <f>+MasterBudget!C18+MasterBudget!C19+MasterBudget!H12</f>
        <v>111164400000</v>
      </c>
      <c r="C4" s="48"/>
      <c r="D4" s="48"/>
      <c r="E4" s="48">
        <f>+FlexibleBudget!H20</f>
        <v>124751160000</v>
      </c>
      <c r="F4" s="50"/>
      <c r="G4" s="48"/>
      <c r="H4" s="48"/>
      <c r="I4" s="48">
        <f>+B4-E4</f>
        <v>-13586760000</v>
      </c>
    </row>
    <row r="5" spans="1:11" x14ac:dyDescent="0.25">
      <c r="A5" s="17" t="s">
        <v>25</v>
      </c>
      <c r="B5" s="49">
        <f>+MasterBudget!H21</f>
        <v>3072900000</v>
      </c>
      <c r="C5" s="48"/>
      <c r="D5" s="48"/>
      <c r="E5" s="49">
        <f>+FlexibleBudget!H21</f>
        <v>3195816000</v>
      </c>
      <c r="F5" s="50"/>
      <c r="G5" s="48"/>
      <c r="H5" s="48"/>
      <c r="I5" s="58">
        <f>+B5-E5</f>
        <v>-122916000</v>
      </c>
    </row>
    <row r="6" spans="1:11" x14ac:dyDescent="0.25">
      <c r="A6" s="33" t="s">
        <v>90</v>
      </c>
      <c r="B6" s="48"/>
      <c r="C6" s="49">
        <f>SUM(B4:B5)</f>
        <v>114237300000</v>
      </c>
      <c r="D6" s="48"/>
      <c r="E6" s="48"/>
      <c r="F6" s="49">
        <f>+E4+E5</f>
        <v>127946976000</v>
      </c>
      <c r="G6" s="48"/>
      <c r="H6" s="48"/>
      <c r="I6" s="48">
        <f>+C6-F6</f>
        <v>-13709676000</v>
      </c>
      <c r="J6" s="8"/>
    </row>
    <row r="7" spans="1:11" x14ac:dyDescent="0.25">
      <c r="A7" s="33" t="s">
        <v>27</v>
      </c>
      <c r="B7" s="48"/>
      <c r="C7" s="48">
        <f>+B3-C6</f>
        <v>21568200000</v>
      </c>
      <c r="D7" s="48"/>
      <c r="E7" s="48"/>
      <c r="F7" s="48">
        <f>+E3-F6</f>
        <v>22932934500.000031</v>
      </c>
      <c r="G7" s="48"/>
      <c r="H7" s="48"/>
      <c r="I7" s="48">
        <f>+F7-C7</f>
        <v>1364734500.0000305</v>
      </c>
      <c r="J7" s="8"/>
    </row>
    <row r="8" spans="1:11" x14ac:dyDescent="0.25">
      <c r="A8" s="17" t="s">
        <v>28</v>
      </c>
      <c r="B8" s="48">
        <f>+MasterBudget!H24</f>
        <v>12351600000</v>
      </c>
      <c r="C8" s="48"/>
      <c r="D8" s="48"/>
      <c r="E8" s="48">
        <f>+FlexibleBudget!H24</f>
        <v>12475116000</v>
      </c>
      <c r="F8" s="50"/>
      <c r="G8" s="48"/>
      <c r="H8" s="48"/>
      <c r="I8" s="48">
        <f>+B8-E8</f>
        <v>-123516000</v>
      </c>
    </row>
    <row r="9" spans="1:11" x14ac:dyDescent="0.25">
      <c r="A9" s="17" t="s">
        <v>29</v>
      </c>
      <c r="B9" s="49">
        <f>+MasterBudget!H25</f>
        <v>7170100000</v>
      </c>
      <c r="C9" s="48"/>
      <c r="D9" s="48"/>
      <c r="E9" s="49">
        <f>+FlexibleBudget!H25</f>
        <v>5956778090</v>
      </c>
      <c r="F9" s="50"/>
      <c r="G9" s="48"/>
      <c r="H9" s="48"/>
      <c r="I9" s="48">
        <f>+B9-E9</f>
        <v>1213321910</v>
      </c>
      <c r="J9" s="28"/>
    </row>
    <row r="10" spans="1:11" x14ac:dyDescent="0.25">
      <c r="A10" s="31" t="s">
        <v>30</v>
      </c>
      <c r="B10" s="58"/>
      <c r="C10" s="49">
        <f>+B8+B9</f>
        <v>19521700000</v>
      </c>
      <c r="D10" s="48"/>
      <c r="E10" s="48"/>
      <c r="F10" s="49">
        <f>+E8+E9</f>
        <v>18431894090</v>
      </c>
      <c r="G10" s="48"/>
      <c r="H10" s="48"/>
      <c r="I10" s="48">
        <f>+C10-F10</f>
        <v>1089805910</v>
      </c>
      <c r="J10" s="28"/>
    </row>
    <row r="11" spans="1:11" x14ac:dyDescent="0.25">
      <c r="A11" s="17" t="s">
        <v>31</v>
      </c>
      <c r="B11" s="48"/>
      <c r="C11" s="58">
        <f>+C7-C10</f>
        <v>2046500000</v>
      </c>
      <c r="D11" s="48"/>
      <c r="E11" s="48"/>
      <c r="F11" s="48">
        <f>+F7-F10</f>
        <v>4501040410.0000305</v>
      </c>
      <c r="G11" s="48"/>
      <c r="H11" s="48"/>
      <c r="I11" s="48">
        <f>+F11-C11</f>
        <v>2454540410.0000305</v>
      </c>
      <c r="J11" s="4"/>
    </row>
    <row r="12" spans="1:11" x14ac:dyDescent="0.25">
      <c r="A12" s="9"/>
      <c r="B12" s="19"/>
      <c r="C12" s="19"/>
      <c r="D12" s="19"/>
      <c r="E12" s="19"/>
      <c r="F12" s="19"/>
      <c r="G12" s="19"/>
      <c r="H12" s="19"/>
      <c r="I12" s="19"/>
    </row>
    <row r="14" spans="1:11" x14ac:dyDescent="0.25">
      <c r="A14" s="44" t="s">
        <v>95</v>
      </c>
      <c r="B14" s="44"/>
      <c r="C14" s="44"/>
      <c r="D14" s="44"/>
      <c r="E14" s="44"/>
    </row>
    <row r="16" spans="1:11" x14ac:dyDescent="0.25">
      <c r="B16" s="34" t="s">
        <v>89</v>
      </c>
      <c r="C16" s="34" t="s">
        <v>91</v>
      </c>
      <c r="D16" s="21" t="s">
        <v>92</v>
      </c>
    </row>
    <row r="17" spans="1:4" x14ac:dyDescent="0.25">
      <c r="A17" s="33" t="s">
        <v>57</v>
      </c>
      <c r="B17" s="48">
        <f>+MasterBudget!D4</f>
        <v>135805500000</v>
      </c>
      <c r="C17" s="48">
        <v>140566000000</v>
      </c>
      <c r="D17" s="48">
        <f>+C17-B17</f>
        <v>4760500000</v>
      </c>
    </row>
    <row r="18" spans="1:4" x14ac:dyDescent="0.25">
      <c r="A18" s="33" t="s">
        <v>93</v>
      </c>
      <c r="B18" s="48"/>
      <c r="C18" s="48"/>
      <c r="D18" s="48"/>
    </row>
    <row r="19" spans="1:4" x14ac:dyDescent="0.25">
      <c r="A19" s="33" t="s">
        <v>2</v>
      </c>
      <c r="B19" s="58">
        <f>+MasterBudget!C21</f>
        <v>123516000000</v>
      </c>
      <c r="C19" s="48">
        <v>124041000000</v>
      </c>
      <c r="D19" s="48">
        <f>+B19-C19</f>
        <v>-525000000</v>
      </c>
    </row>
    <row r="20" spans="1:4" x14ac:dyDescent="0.25">
      <c r="A20" s="33" t="s">
        <v>3</v>
      </c>
      <c r="B20" s="49">
        <f>+MasterBudget!K14</f>
        <v>10243000000</v>
      </c>
      <c r="C20" s="49">
        <v>14999000000</v>
      </c>
      <c r="D20" s="48">
        <f>+B20-C20</f>
        <v>-4756000000</v>
      </c>
    </row>
    <row r="21" spans="1:4" x14ac:dyDescent="0.25">
      <c r="A21" s="30" t="s">
        <v>4</v>
      </c>
      <c r="B21" s="61">
        <f>+B19+B20</f>
        <v>133759000000</v>
      </c>
      <c r="C21" s="61">
        <f>+C19+C20</f>
        <v>139040000000</v>
      </c>
      <c r="D21" s="48">
        <f>+C21-B21</f>
        <v>5281000000</v>
      </c>
    </row>
    <row r="22" spans="1:4" x14ac:dyDescent="0.25">
      <c r="A22" s="33" t="s">
        <v>94</v>
      </c>
      <c r="B22" s="48">
        <f>+B17-B21</f>
        <v>2046500000</v>
      </c>
      <c r="C22" s="48">
        <f>+C17-C21</f>
        <v>1526000000</v>
      </c>
      <c r="D22" s="48">
        <f>+C22-B22</f>
        <v>-520500000</v>
      </c>
    </row>
    <row r="25" spans="1:4" x14ac:dyDescent="0.25">
      <c r="A25" s="33" t="s">
        <v>98</v>
      </c>
    </row>
  </sheetData>
  <mergeCells count="3">
    <mergeCell ref="E1:F1"/>
    <mergeCell ref="H1:K1"/>
    <mergeCell ref="A14:E14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Assumptions</vt:lpstr>
      <vt:lpstr>2014IncomeStatement</vt:lpstr>
      <vt:lpstr>MasterBudget</vt:lpstr>
      <vt:lpstr>FlexibleBudget</vt:lpstr>
      <vt:lpstr>Comparison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Rich</dc:creator>
  <cp:lastModifiedBy>Owner</cp:lastModifiedBy>
  <cp:lastPrinted>2016-04-13T01:44:58Z</cp:lastPrinted>
  <dcterms:created xsi:type="dcterms:W3CDTF">2016-03-05T18:16:44Z</dcterms:created>
  <dcterms:modified xsi:type="dcterms:W3CDTF">2016-10-02T20:47:25Z</dcterms:modified>
</cp:coreProperties>
</file>